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9090" windowHeight="8610" activeTab="0"/>
  </bookViews>
  <sheets>
    <sheet name="Géométrie" sheetId="1" r:id="rId1"/>
    <sheet name="Aide géo." sheetId="2" r:id="rId2"/>
    <sheet name="Centrage" sheetId="3" r:id="rId3"/>
    <sheet name="Aide cen." sheetId="4" r:id="rId4"/>
    <sheet name="Motorisation" sheetId="5" r:id="rId5"/>
    <sheet name="Aide mo." sheetId="6" r:id="rId6"/>
  </sheets>
  <definedNames>
    <definedName name="solver_cvg" localSheetId="0" hidden="1">0.001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'Géométrie'!$I$8</definedName>
    <definedName name="solver_pre" localSheetId="0" hidden="1">0.000001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<sst xmlns="http://schemas.openxmlformats.org/spreadsheetml/2006/main" count="258" uniqueCount="187">
  <si>
    <t>Envergure</t>
  </si>
  <si>
    <t>m</t>
  </si>
  <si>
    <t>dm2</t>
  </si>
  <si>
    <t>kg</t>
  </si>
  <si>
    <t>Charge alaire</t>
  </si>
  <si>
    <t>g/dm2</t>
  </si>
  <si>
    <t>Vmin</t>
  </si>
  <si>
    <t>km/h</t>
  </si>
  <si>
    <t>Vitesse</t>
  </si>
  <si>
    <t>Cz</t>
  </si>
  <si>
    <t>Cxi</t>
  </si>
  <si>
    <t>Cx</t>
  </si>
  <si>
    <t>allongement</t>
  </si>
  <si>
    <t>Re</t>
  </si>
  <si>
    <t>finesse</t>
  </si>
  <si>
    <t>profil</t>
  </si>
  <si>
    <t>Ailes</t>
  </si>
  <si>
    <t>Corde à l'emplanture</t>
  </si>
  <si>
    <t>Corde au saumon</t>
  </si>
  <si>
    <t>Fuselage</t>
  </si>
  <si>
    <t>Longueur</t>
  </si>
  <si>
    <t>Hauteur maximale</t>
  </si>
  <si>
    <t>Largeur maximale</t>
  </si>
  <si>
    <t>Surface de la dérive</t>
  </si>
  <si>
    <t>Maître couple du train</t>
  </si>
  <si>
    <t>0,5 à 1</t>
  </si>
  <si>
    <t>0,78 à 1</t>
  </si>
  <si>
    <t>Masse de l'avion</t>
  </si>
  <si>
    <t>Surface mouillée</t>
  </si>
  <si>
    <t>Propulsion</t>
  </si>
  <si>
    <t>Pas de l'hélice</t>
  </si>
  <si>
    <t>pouces</t>
  </si>
  <si>
    <t>Vmax</t>
  </si>
  <si>
    <t>trainée</t>
  </si>
  <si>
    <t>1 à 2</t>
  </si>
  <si>
    <t>degrés</t>
  </si>
  <si>
    <t>Propreté du fuselage</t>
  </si>
  <si>
    <t>Carénage du train</t>
  </si>
  <si>
    <t>0,1 à 1</t>
  </si>
  <si>
    <t xml:space="preserve">Surface alaire </t>
  </si>
  <si>
    <t>Recul de l'hélice</t>
  </si>
  <si>
    <t>cm</t>
  </si>
  <si>
    <t>cm2</t>
  </si>
  <si>
    <t>Gmax</t>
  </si>
  <si>
    <t>G</t>
  </si>
  <si>
    <t>Vz</t>
  </si>
  <si>
    <t>m/s</t>
  </si>
  <si>
    <t>Les valeurs sur fond jaune sont les valeurs initiales à entrer à la main.</t>
  </si>
  <si>
    <t>Entrer les lignes 5 à 8 en fonction des mesures.</t>
  </si>
  <si>
    <t>Czmax résulte du Czmax du profil, en tenant compte de la perte de portance provenant de la forme des ailes.</t>
  </si>
  <si>
    <t>La surface alaire est calculée pour une aile trapézoidale. Si elle ne l'est pas, Il faut entrer la vraie valeur</t>
  </si>
  <si>
    <t>à la place de la formule et majorer un peu la corde au saumon.</t>
  </si>
  <si>
    <t>valeur intermédiaire doit être utilisée pour les sections plus ou moins arrondies en fonction de l'arrondi.</t>
  </si>
  <si>
    <t>du fuselage. Une valeur de moins de 0,5 correspond à un fuselage dont une partie n'est qu'un tube carbone mince.</t>
  </si>
  <si>
    <t>2 pour les fuselages particulièrement peu soignés.</t>
  </si>
  <si>
    <t>Si Vmax estimé ne convient pas (notamment dans le cas d'un planeur sans propulsion), entrer Vmax désiré à la place de la formule.</t>
  </si>
  <si>
    <t>Les valeurs de Cx doivent être entrées à la main à partir de la lecture de la polaire en fonction de Cz et Re moyen.</t>
  </si>
  <si>
    <t>on part droit en pointe avec une section nulle aux extrémités. Les valeurs intermédiaires servent à définir le degré d'éfilement</t>
  </si>
  <si>
    <t>incidence</t>
  </si>
  <si>
    <t>Cxf</t>
  </si>
  <si>
    <t>Surface du stabilisateur</t>
  </si>
  <si>
    <t>et qui n'a pas été considéré dans le coefficient de propreté du fuselage.</t>
  </si>
  <si>
    <t>P. Kauffmann V1,0</t>
  </si>
  <si>
    <t>Coef. de trainée induite</t>
  </si>
  <si>
    <t>Coef. De trainée induite correspond à l'augmentation de cette trainée pour une aile non élipsoidale.</t>
  </si>
  <si>
    <t>Cxp</t>
  </si>
  <si>
    <t>0,7 à 1,1</t>
  </si>
  <si>
    <t>0,5 à 1,5</t>
  </si>
  <si>
    <t>Coefficient de section</t>
  </si>
  <si>
    <t>Coefficcient de profil</t>
  </si>
  <si>
    <t>Cz max ailes</t>
  </si>
  <si>
    <t>Clark Y</t>
  </si>
  <si>
    <t>Miss 3</t>
  </si>
  <si>
    <t>Moment</t>
  </si>
  <si>
    <t>Position</t>
  </si>
  <si>
    <t>Masse</t>
  </si>
  <si>
    <t>Elément</t>
  </si>
  <si>
    <t>Géométrie, performances aérodynamiques</t>
  </si>
  <si>
    <t>Caractéristiques du modèle</t>
  </si>
  <si>
    <t>Empennage</t>
  </si>
  <si>
    <t>Plomb</t>
  </si>
  <si>
    <t>Ailes équipées</t>
  </si>
  <si>
    <t>Fuselage vide</t>
  </si>
  <si>
    <t>Train d'attérissage</t>
  </si>
  <si>
    <t>Moteur équipé</t>
  </si>
  <si>
    <t>Variateur/servo de gaz</t>
  </si>
  <si>
    <t>Réservoir/batterie</t>
  </si>
  <si>
    <t>Servos direction+prof.</t>
  </si>
  <si>
    <t>Tringlerie</t>
  </si>
  <si>
    <t>Récepteur</t>
  </si>
  <si>
    <t>Batterie de réception</t>
  </si>
  <si>
    <t>Divers 1</t>
  </si>
  <si>
    <t>Divers 2</t>
  </si>
  <si>
    <t>Divers 3</t>
  </si>
  <si>
    <t>Centrage</t>
  </si>
  <si>
    <t>g</t>
  </si>
  <si>
    <t>Corde moyenne</t>
  </si>
  <si>
    <t>Foyer des ailes</t>
  </si>
  <si>
    <t>Envergure du stabilisateur</t>
  </si>
  <si>
    <t>Allongement</t>
  </si>
  <si>
    <t>ae aile</t>
  </si>
  <si>
    <t>a aile</t>
  </si>
  <si>
    <t>ae stabilisateur</t>
  </si>
  <si>
    <t>a stabilisateur</t>
  </si>
  <si>
    <t>ks</t>
  </si>
  <si>
    <t>0,3 à 0,5</t>
  </si>
  <si>
    <t>0,4 à 0,9</t>
  </si>
  <si>
    <t>Marge de stabilité</t>
  </si>
  <si>
    <t>0 à 10 %</t>
  </si>
  <si>
    <t>V</t>
  </si>
  <si>
    <t>A</t>
  </si>
  <si>
    <t>W</t>
  </si>
  <si>
    <t>tr/mn</t>
  </si>
  <si>
    <t>N</t>
  </si>
  <si>
    <t>mn</t>
  </si>
  <si>
    <t>Moteur</t>
  </si>
  <si>
    <t>Rendement hélice</t>
  </si>
  <si>
    <t>Rendement moteur</t>
  </si>
  <si>
    <t>0,7 à 0,9</t>
  </si>
  <si>
    <t>0,6 à 0,8</t>
  </si>
  <si>
    <t>Kv moteur</t>
  </si>
  <si>
    <t>Ralentissement</t>
  </si>
  <si>
    <t>Régime hélice</t>
  </si>
  <si>
    <t>Tr/mn/V</t>
  </si>
  <si>
    <t>Régime à vide</t>
  </si>
  <si>
    <t>1 à 1,35</t>
  </si>
  <si>
    <t>Courant maximum</t>
  </si>
  <si>
    <t>Tension batterie</t>
  </si>
  <si>
    <t>Autonomie moyenne</t>
  </si>
  <si>
    <t>Traction maximum</t>
  </si>
  <si>
    <t>Traction relative</t>
  </si>
  <si>
    <t>Puissance méca. Pa</t>
  </si>
  <si>
    <t>Hélice</t>
  </si>
  <si>
    <t>0 à 0,5</t>
  </si>
  <si>
    <t>Masses</t>
  </si>
  <si>
    <t>kalpha</t>
  </si>
  <si>
    <t>Bras de levier</t>
  </si>
  <si>
    <t>Masse totale</t>
  </si>
  <si>
    <t>0,4 à 1,5</t>
  </si>
  <si>
    <t>Caractéristiques de vol</t>
  </si>
  <si>
    <t>coefficient d'activité</t>
  </si>
  <si>
    <t>0,7 à 1,5</t>
  </si>
  <si>
    <t>Diamètre de l'hélice</t>
  </si>
  <si>
    <t>Plage de vitesses</t>
  </si>
  <si>
    <t>Capacité batterie</t>
  </si>
  <si>
    <t>Ah</t>
  </si>
  <si>
    <t>Les valeurs sur fond bleu sont des valeurs intermédiaires qui peuvent, si on le désire, être modifiées</t>
  </si>
  <si>
    <t>Les valeurs sur fond vert doivent être entrées à la main en fonction d'autres données</t>
  </si>
  <si>
    <t>Les valeurs sur fond rouge sont des résultats prinicpaux</t>
  </si>
  <si>
    <t>Position CM réel</t>
  </si>
  <si>
    <t>Position CM idéal</t>
  </si>
  <si>
    <t>Point neutre</t>
  </si>
  <si>
    <t>Entrer les lignes 18 à 21 en fonction des mesures.</t>
  </si>
  <si>
    <t>La surface de l'empennage horizontal est calculée pour une forme trapézoidale. Si elle ne l'est pas, Il faut entrer la vraie valeur</t>
  </si>
  <si>
    <t>Entrer les lignes 28 à 35 en fonction des mesures.</t>
  </si>
  <si>
    <t>Le coefficient de section doit être de 0,78 pour une section élipsoidale et de 1 pour une section rectangulaire. Une</t>
  </si>
  <si>
    <t>Le coefficient de profil doit être de 1 pour une section constante du fuselage et de 0,5 si à partir du maître couple</t>
  </si>
  <si>
    <t>La propreté du fuselage est de 1 pour un fuselage parfait sans excroissance (en particulier chapes), il peut atteindre</t>
  </si>
  <si>
    <t>Si on a mesuré avec soin la surface mouillée du fuselage on peut entrer la valeur réelle à la place de celle estimée.</t>
  </si>
  <si>
    <t>Entrer la ligne 34 en mettant la somme des maîtres couples de tout ce qui dépasse franchement du fuselage</t>
  </si>
  <si>
    <t>Ligne 35, mettre 1 si aucun profilage de ce qui dépasse n'existe ; 0,1 si tout est parfaitement profilé.</t>
  </si>
  <si>
    <t>Entrer les masses des éléments et la position de leur centre de masse par rapport au bord d'attaque</t>
  </si>
  <si>
    <t>des ailes. Une valeur de position négative indique un élément en avant du bord d'attaque.</t>
  </si>
  <si>
    <t>Les champs divers1 à divers3 sont la pour permettre la prise en compte d'éléments supplémentaires.</t>
  </si>
  <si>
    <t>Les lignes ne correspondant à aucun élément peuvent être laissées en blanc sans inconvénient.</t>
  </si>
  <si>
    <t>Les éléments en vert peuvent être obtenus à l'aide du logiciel Nurflügel ou une autre méthode.</t>
  </si>
  <si>
    <t>"aréodynamique des aéromodèles".</t>
  </si>
  <si>
    <t>La valeur du bras de levier se mesure entre le foyer de l'empennage horizontal et le centre de masse.</t>
  </si>
  <si>
    <t>Comme ces valeurs ne sont pas très bien définies on approxime en choisissant des points estimés.</t>
  </si>
  <si>
    <t>Pour trouver les valeurs en jaune (excepté le bras de levier), le mieux est de se reporter à l'article</t>
  </si>
  <si>
    <t>La masse du modèle vient de la page centrage, on peut la modifier en cas de besoin.</t>
  </si>
  <si>
    <t>Moteur électrique</t>
  </si>
  <si>
    <t>Moteur thermique</t>
  </si>
  <si>
    <t>Entrer les valeurs en jaune en s'aidant en cas de besoin des informations de l'article "propulsion d'un aéromodèle".</t>
  </si>
  <si>
    <t>Entrer la puissance maximale et le régime de puissance maximale dans les cases en bleu à la place des</t>
  </si>
  <si>
    <t>formules existantes.</t>
  </si>
  <si>
    <t>Le coefficient de ralentissement doit être choisi égal à 1,25 pour un 2 temps et 1 pour un 4 temps.</t>
  </si>
  <si>
    <t>Entrer les valeurs des cases jaunes.</t>
  </si>
  <si>
    <r>
      <t>Attention</t>
    </r>
    <r>
      <rPr>
        <sz val="10"/>
        <rFont val="Arial"/>
        <family val="0"/>
      </rPr>
      <t xml:space="preserve"> : la valeur donnée pour le diamètre de l'hélice ne peut être qu'approximative. C'est donc</t>
    </r>
  </si>
  <si>
    <r>
      <t>Attention</t>
    </r>
    <r>
      <rPr>
        <sz val="10"/>
        <rFont val="Arial"/>
        <family val="0"/>
      </rPr>
      <t xml:space="preserve"> : une hélice trop grande peut griller un moteur électrique</t>
    </r>
  </si>
  <si>
    <r>
      <t>Attention</t>
    </r>
    <r>
      <rPr>
        <sz val="10"/>
        <rFont val="Arial"/>
        <family val="0"/>
      </rPr>
      <t xml:space="preserve"> : une hélice trop petite provoque des surrégimes sur un moteur thermique</t>
    </r>
  </si>
  <si>
    <t>simplement une indication de départ pour un choix.</t>
  </si>
  <si>
    <t>La capacité de la batterie permet d'estimer la durée de vol, mais seulement de façon grossière,</t>
  </si>
  <si>
    <t>puisque le style de vol influe très fortement sur la consommation électrique.</t>
  </si>
  <si>
    <t>Courant moyen</t>
  </si>
  <si>
    <t>Débit minimal</t>
  </si>
  <si>
    <t>C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</si>
</sst>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.0"/>
    <numFmt numFmtId="181" formatCode="0.000"/>
    <numFmt numFmtId="182" formatCode="0.000000"/>
  </numFmts>
  <fonts count="43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0"/>
      <color indexed="10"/>
      <name val="Arial"/>
      <family val="2"/>
    </font>
    <font>
      <sz val="9.5"/>
      <color indexed="8"/>
      <name val="Arial"/>
      <family val="0"/>
    </font>
    <font>
      <sz val="8.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47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right"/>
      <protection locked="0"/>
    </xf>
    <xf numFmtId="180" fontId="0" fillId="0" borderId="0" xfId="0" applyNumberFormat="1" applyAlignment="1" applyProtection="1">
      <alignment/>
      <protection hidden="1"/>
    </xf>
    <xf numFmtId="181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/>
      <protection hidden="1"/>
    </xf>
    <xf numFmtId="1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180" fontId="0" fillId="0" borderId="0" xfId="0" applyNumberFormat="1" applyAlignment="1" applyProtection="1">
      <alignment horizontal="center"/>
      <protection hidden="1"/>
    </xf>
    <xf numFmtId="181" fontId="0" fillId="34" borderId="0" xfId="0" applyNumberFormat="1" applyFill="1" applyAlignment="1" applyProtection="1">
      <alignment/>
      <protection locked="0"/>
    </xf>
    <xf numFmtId="0" fontId="2" fillId="0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180" fontId="0" fillId="35" borderId="0" xfId="0" applyNumberFormat="1" applyFill="1" applyAlignment="1" applyProtection="1">
      <alignment/>
      <protection locked="0"/>
    </xf>
    <xf numFmtId="180" fontId="0" fillId="33" borderId="0" xfId="0" applyNumberFormat="1" applyFill="1" applyAlignment="1" applyProtection="1">
      <alignment/>
      <protection locked="0"/>
    </xf>
    <xf numFmtId="1" fontId="0" fillId="0" borderId="0" xfId="0" applyNumberFormat="1" applyFont="1" applyAlignment="1">
      <alignment/>
    </xf>
    <xf numFmtId="0" fontId="0" fillId="0" borderId="0" xfId="0" applyFill="1" applyAlignment="1" applyProtection="1">
      <alignment/>
      <protection locked="0"/>
    </xf>
    <xf numFmtId="180" fontId="0" fillId="0" borderId="0" xfId="0" applyNumberFormat="1" applyFill="1" applyAlignment="1">
      <alignment/>
    </xf>
    <xf numFmtId="0" fontId="0" fillId="35" borderId="0" xfId="0" applyFill="1" applyAlignment="1" applyProtection="1">
      <alignment/>
      <protection locked="0"/>
    </xf>
    <xf numFmtId="1" fontId="0" fillId="35" borderId="0" xfId="0" applyNumberFormat="1" applyFill="1" applyAlignment="1" applyProtection="1">
      <alignment/>
      <protection locked="0"/>
    </xf>
    <xf numFmtId="0" fontId="5" fillId="0" borderId="0" xfId="0" applyFont="1" applyAlignment="1">
      <alignment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80" fontId="2" fillId="36" borderId="0" xfId="0" applyNumberFormat="1" applyFont="1" applyFill="1" applyAlignment="1" applyProtection="1">
      <alignment/>
      <protection hidden="1"/>
    </xf>
    <xf numFmtId="0" fontId="2" fillId="36" borderId="0" xfId="0" applyFont="1" applyFill="1" applyAlignment="1" applyProtection="1">
      <alignment/>
      <protection hidden="1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2" fontId="2" fillId="36" borderId="0" xfId="0" applyNumberFormat="1" applyFont="1" applyFill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2" fontId="0" fillId="0" borderId="0" xfId="0" applyNumberForma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180" fontId="0" fillId="0" borderId="0" xfId="0" applyNumberFormat="1" applyFill="1" applyAlignment="1" applyProtection="1">
      <alignment/>
      <protection hidden="1"/>
    </xf>
    <xf numFmtId="2" fontId="0" fillId="33" borderId="0" xfId="0" applyNumberFormat="1" applyFill="1" applyAlignment="1" applyProtection="1">
      <alignment/>
      <protection locked="0"/>
    </xf>
    <xf numFmtId="2" fontId="0" fillId="35" borderId="0" xfId="0" applyNumberFormat="1" applyFill="1" applyAlignment="1" applyProtection="1">
      <alignment/>
      <protection locked="0"/>
    </xf>
    <xf numFmtId="1" fontId="0" fillId="33" borderId="0" xfId="0" applyNumberFormat="1" applyFill="1" applyAlignment="1" applyProtection="1">
      <alignment/>
      <protection locked="0"/>
    </xf>
    <xf numFmtId="1" fontId="0" fillId="35" borderId="0" xfId="0" applyNumberFormat="1" applyFont="1" applyFill="1" applyAlignment="1" applyProtection="1">
      <alignment/>
      <protection locked="0"/>
    </xf>
    <xf numFmtId="180" fontId="0" fillId="37" borderId="0" xfId="0" applyNumberFormat="1" applyFill="1" applyAlignment="1">
      <alignment/>
    </xf>
    <xf numFmtId="1" fontId="0" fillId="37" borderId="0" xfId="0" applyNumberFormat="1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25"/>
          <c:y val="0.038"/>
          <c:w val="0.9105"/>
          <c:h val="0.72625"/>
        </c:manualLayout>
      </c:layout>
      <c:scatterChart>
        <c:scatterStyle val="smoothMarker"/>
        <c:varyColors val="0"/>
        <c:ser>
          <c:idx val="1"/>
          <c:order val="0"/>
          <c:tx>
            <c:v>Incidence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Géométrie!$D$5:$D$20</c:f>
              <c:numCache/>
            </c:numRef>
          </c:xVal>
          <c:yVal>
            <c:numRef>
              <c:f>Géométrie!$F$5:$F$20</c:f>
              <c:numCache/>
            </c:numRef>
          </c:yVal>
          <c:smooth val="1"/>
        </c:ser>
        <c:ser>
          <c:idx val="7"/>
          <c:order val="2"/>
          <c:tx>
            <c:v>Finesse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Géométrie!$D$5:$D$20</c:f>
              <c:numCache/>
            </c:numRef>
          </c:xVal>
          <c:yVal>
            <c:numRef>
              <c:f>Géométrie!$L$5:$L$20</c:f>
              <c:numCache/>
            </c:numRef>
          </c:yVal>
          <c:smooth val="1"/>
        </c:ser>
        <c:axId val="29649979"/>
        <c:axId val="65523220"/>
      </c:scatterChart>
      <c:scatterChart>
        <c:scatterStyle val="lineMarker"/>
        <c:varyColors val="0"/>
        <c:ser>
          <c:idx val="6"/>
          <c:order val="1"/>
          <c:tx>
            <c:v>Traînée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Géométrie!$D$5:$D$20</c:f>
              <c:numCache/>
            </c:numRef>
          </c:xVal>
          <c:yVal>
            <c:numRef>
              <c:f>Géométrie!$K$5:$K$20</c:f>
              <c:numCache/>
            </c:numRef>
          </c:yVal>
          <c:smooth val="1"/>
        </c:ser>
        <c:axId val="52838069"/>
        <c:axId val="5780574"/>
      </c:scatterChart>
      <c:valAx>
        <c:axId val="296499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Vitesse en km/h</a:t>
                </a:r>
              </a:p>
            </c:rich>
          </c:tx>
          <c:layout>
            <c:manualLayout>
              <c:xMode val="factor"/>
              <c:yMode val="factor"/>
              <c:x val="-0.040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23220"/>
        <c:crosses val="autoZero"/>
        <c:crossBetween val="midCat"/>
        <c:dispUnits/>
      </c:valAx>
      <c:valAx>
        <c:axId val="6552322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649979"/>
        <c:crosses val="autoZero"/>
        <c:crossBetween val="midCat"/>
        <c:dispUnits/>
      </c:valAx>
      <c:valAx>
        <c:axId val="52838069"/>
        <c:scaling>
          <c:orientation val="minMax"/>
        </c:scaling>
        <c:axPos val="b"/>
        <c:delete val="1"/>
        <c:majorTickMark val="out"/>
        <c:minorTickMark val="none"/>
        <c:tickLblPos val="nextTo"/>
        <c:crossAx val="5780574"/>
        <c:crosses val="max"/>
        <c:crossBetween val="midCat"/>
        <c:dispUnits/>
      </c:valAx>
      <c:valAx>
        <c:axId val="57805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24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283806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8"/>
          <c:y val="0.89725"/>
          <c:w val="0.5525"/>
          <c:h val="0.0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20</xdr:row>
      <xdr:rowOff>85725</xdr:rowOff>
    </xdr:from>
    <xdr:to>
      <xdr:col>12</xdr:col>
      <xdr:colOff>409575</xdr:colOff>
      <xdr:row>36</xdr:row>
      <xdr:rowOff>85725</xdr:rowOff>
    </xdr:to>
    <xdr:graphicFrame>
      <xdr:nvGraphicFramePr>
        <xdr:cNvPr id="1" name="Chart 2"/>
        <xdr:cNvGraphicFramePr/>
      </xdr:nvGraphicFramePr>
      <xdr:xfrm>
        <a:off x="2914650" y="3495675"/>
        <a:ext cx="4343400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="85" zoomScaleNormal="85" zoomScalePageLayoutView="0" workbookViewId="0" topLeftCell="A1">
      <selection activeCell="B2" sqref="B2"/>
    </sheetView>
  </sheetViews>
  <sheetFormatPr defaultColWidth="11.421875" defaultRowHeight="12.75"/>
  <cols>
    <col min="1" max="1" width="21.8515625" style="0" customWidth="1"/>
    <col min="3" max="3" width="8.28125" style="0" customWidth="1"/>
    <col min="4" max="4" width="7.421875" style="0" customWidth="1"/>
    <col min="5" max="5" width="5.57421875" style="0" customWidth="1"/>
    <col min="6" max="6" width="8.8515625" style="0" customWidth="1"/>
    <col min="7" max="7" width="7.8515625" style="0" customWidth="1"/>
    <col min="8" max="8" width="6.00390625" style="0" customWidth="1"/>
    <col min="9" max="9" width="6.140625" style="0" customWidth="1"/>
    <col min="10" max="10" width="5.8515625" style="0" customWidth="1"/>
    <col min="11" max="12" width="6.7109375" style="0" customWidth="1"/>
    <col min="13" max="13" width="7.140625" style="0" customWidth="1"/>
    <col min="14" max="14" width="11.140625" style="0" customWidth="1"/>
  </cols>
  <sheetData>
    <row r="1" ht="26.25">
      <c r="B1" s="2" t="s">
        <v>77</v>
      </c>
    </row>
    <row r="2" spans="1:2" ht="12.75">
      <c r="A2" s="6" t="s">
        <v>62</v>
      </c>
      <c r="B2" s="17" t="s">
        <v>72</v>
      </c>
    </row>
    <row r="3" spans="4:13" ht="12.75">
      <c r="D3" s="4" t="s">
        <v>8</v>
      </c>
      <c r="E3" s="4" t="s">
        <v>9</v>
      </c>
      <c r="F3" s="4" t="s">
        <v>58</v>
      </c>
      <c r="G3" s="4" t="s">
        <v>13</v>
      </c>
      <c r="H3" s="4" t="s">
        <v>65</v>
      </c>
      <c r="I3" s="4" t="s">
        <v>10</v>
      </c>
      <c r="J3" s="4" t="s">
        <v>59</v>
      </c>
      <c r="K3" s="4" t="s">
        <v>33</v>
      </c>
      <c r="L3" s="4" t="s">
        <v>14</v>
      </c>
      <c r="M3" s="4" t="s">
        <v>45</v>
      </c>
    </row>
    <row r="4" spans="1:13" ht="12.75">
      <c r="A4" s="26" t="s">
        <v>78</v>
      </c>
      <c r="B4" s="27"/>
      <c r="C4" s="27"/>
      <c r="D4" s="4" t="s">
        <v>7</v>
      </c>
      <c r="E4" s="4"/>
      <c r="F4" s="4" t="s">
        <v>35</v>
      </c>
      <c r="G4" s="4"/>
      <c r="H4" s="16"/>
      <c r="I4" s="4"/>
      <c r="J4" s="4"/>
      <c r="K4" s="4" t="s">
        <v>3</v>
      </c>
      <c r="L4" s="4"/>
      <c r="M4" s="4" t="s">
        <v>46</v>
      </c>
    </row>
    <row r="5" spans="1:13" ht="12.75">
      <c r="A5" s="26" t="s">
        <v>16</v>
      </c>
      <c r="B5" s="27"/>
      <c r="C5" s="27"/>
      <c r="D5" s="12">
        <f>Motorisation!F8</f>
        <v>21.30757327375804</v>
      </c>
      <c r="E5" s="13">
        <f>20.7572*Motorisation!F6/D5^2</f>
        <v>1.1050034070210843</v>
      </c>
      <c r="F5" s="14">
        <f>E5/B15</f>
        <v>14.73195253285117</v>
      </c>
      <c r="G5" s="12">
        <f>INT(3.5*(B7+B8)*D5/3.6)*10000</f>
        <v>80000</v>
      </c>
      <c r="H5" s="15">
        <v>0.025</v>
      </c>
      <c r="I5" s="10">
        <f>(E5^2)/(3.1416*B13*B11)</f>
        <v>0.07034675414137213</v>
      </c>
      <c r="J5" s="10">
        <f>B33*((B36+2*(B22+B18))/(2*B12))*((H5+2*MIN(H5:H20))/3)+0.01*B35*B34/B12</f>
        <v>0.01246997948717949</v>
      </c>
      <c r="K5" s="13">
        <f>0.000624362*(H5+I5+J5)*B12*(D5/3.6)^2</f>
        <v>0.06131390282313618</v>
      </c>
      <c r="L5" s="14">
        <f>E5/(H5+I5+J5)</f>
        <v>10.248904505195114</v>
      </c>
      <c r="M5" s="13">
        <f aca="true" t="shared" si="0" ref="M5:M20">SIN(ATAN((H5+I5+J5)/E5))*D5/3.6</f>
        <v>0.5747732411001306</v>
      </c>
    </row>
    <row r="6" spans="1:13" ht="12.75">
      <c r="A6" s="27" t="s">
        <v>0</v>
      </c>
      <c r="B6" s="7">
        <v>1.3</v>
      </c>
      <c r="C6" s="27" t="s">
        <v>1</v>
      </c>
      <c r="D6" s="12">
        <f>Motorisation!F8+1*(Motorisation!F9-Motorisation!F8)/15</f>
        <v>24.15329302884084</v>
      </c>
      <c r="E6" s="13">
        <f>20.7572*Motorisation!F6/D6^2</f>
        <v>0.8599612805131738</v>
      </c>
      <c r="F6" s="14">
        <f>E6/B15</f>
        <v>11.465040455181377</v>
      </c>
      <c r="G6" s="12">
        <f>INT(3.5*(B7+B8)*D6/3.6)*10000</f>
        <v>90000</v>
      </c>
      <c r="H6" s="15">
        <v>0.017</v>
      </c>
      <c r="I6" s="10">
        <f>(E6^2)/(3.1416*B13*B11)</f>
        <v>0.0426063788565447</v>
      </c>
      <c r="J6" s="10">
        <f>B33*((B36+2*(B22+B18))/(2*B12))*((H6+2*MIN(H5:H20))/3)+0.01*B35*B34/B12</f>
        <v>0.010785712820512824</v>
      </c>
      <c r="K6" s="13">
        <f>0.000624362*(H6+I6+J6)*B12*(D6/3.6)^2</f>
        <v>0.05143768095701676</v>
      </c>
      <c r="L6" s="14">
        <f aca="true" t="shared" si="1" ref="L6:L20">E6/(H6+I6+J6)</f>
        <v>12.216731454130889</v>
      </c>
      <c r="M6" s="13">
        <f t="shared" si="0"/>
        <v>0.5473545560592766</v>
      </c>
    </row>
    <row r="7" spans="1:13" ht="12.75">
      <c r="A7" s="27" t="s">
        <v>17</v>
      </c>
      <c r="B7" s="7">
        <v>0.2</v>
      </c>
      <c r="C7" s="27" t="s">
        <v>1</v>
      </c>
      <c r="D7" s="12">
        <f>Motorisation!F8+2*(Motorisation!F9-Motorisation!F8)/15</f>
        <v>26.999012783923636</v>
      </c>
      <c r="E7" s="13">
        <f>20.7572*Motorisation!F6/D7^2</f>
        <v>0.688233533269654</v>
      </c>
      <c r="F7" s="14">
        <f>E7/B15</f>
        <v>9.175558807531829</v>
      </c>
      <c r="G7" s="12">
        <f>INT(3.5*(B7+B8)*D7/3.6)*10000</f>
        <v>100000</v>
      </c>
      <c r="H7" s="15">
        <v>0.016</v>
      </c>
      <c r="I7" s="10">
        <f>(E7^2)/(3.1416*B13*B11)</f>
        <v>0.027289054447100298</v>
      </c>
      <c r="J7" s="10">
        <f>B33*((B36+2*(B22+B18))/(2*B12))*((H7+2*MIN(H5:H20))/3)+0.01*B35*B34/B12</f>
        <v>0.01057517948717949</v>
      </c>
      <c r="K7" s="13">
        <f>0.000624362*(H7+I7+J7)*B12*(D7/3.6)^2</f>
        <v>0.04918142026775104</v>
      </c>
      <c r="L7" s="14">
        <f t="shared" si="1"/>
        <v>12.777189667440062</v>
      </c>
      <c r="M7" s="13">
        <f t="shared" si="0"/>
        <v>0.5851726251135114</v>
      </c>
    </row>
    <row r="8" spans="1:13" ht="12.75">
      <c r="A8" s="27" t="s">
        <v>18</v>
      </c>
      <c r="B8" s="7">
        <v>0.2</v>
      </c>
      <c r="C8" s="27" t="s">
        <v>1</v>
      </c>
      <c r="D8" s="12">
        <f>Motorisation!F8+3*(Motorisation!F9-Motorisation!F8)/15</f>
        <v>29.844732539006433</v>
      </c>
      <c r="E8" s="13">
        <f>20.7572*Motorisation!F6/D8^2</f>
        <v>0.5632435354184613</v>
      </c>
      <c r="F8" s="14">
        <f>E8/B15</f>
        <v>7.509186827386607</v>
      </c>
      <c r="G8" s="12">
        <f>INT(3.5*(B7+B8)*D8/3.6)*10000</f>
        <v>110000</v>
      </c>
      <c r="H8" s="15">
        <v>0.015</v>
      </c>
      <c r="I8" s="10">
        <f>(E8^2)/(3.1416*B13*B11)</f>
        <v>0.018277183035573852</v>
      </c>
      <c r="J8" s="10">
        <f>B33*((B36+2*(B22+B18))/(2*B12))*((H8+2*MIN(H5:H20))/3)+0.01*B35*B34/B12</f>
        <v>0.010364646153846156</v>
      </c>
      <c r="K8" s="13">
        <f>0.000624362*(H8+I8+J8)*B12*(D8/3.6)^2</f>
        <v>0.04869037699086945</v>
      </c>
      <c r="L8" s="14">
        <f t="shared" si="1"/>
        <v>12.90604784171162</v>
      </c>
      <c r="M8" s="13">
        <f t="shared" si="0"/>
        <v>0.6404307072887</v>
      </c>
    </row>
    <row r="9" spans="1:13" ht="12.75">
      <c r="A9" s="27" t="s">
        <v>15</v>
      </c>
      <c r="B9" s="8" t="s">
        <v>71</v>
      </c>
      <c r="C9" s="27"/>
      <c r="D9" s="12">
        <f>Motorisation!F8+4*(Motorisation!F9-Motorisation!F8)/15</f>
        <v>32.690452294089226</v>
      </c>
      <c r="E9" s="13">
        <f>20.7572*Motorisation!F6/D9^2</f>
        <v>0.4694504281806246</v>
      </c>
      <c r="F9" s="14">
        <f>E9/B15</f>
        <v>6.258733122939283</v>
      </c>
      <c r="G9" s="12">
        <f>INT(3.5*(B7+B8)*D9/3.6)*10000</f>
        <v>120000</v>
      </c>
      <c r="H9" s="15">
        <v>0.014</v>
      </c>
      <c r="I9" s="10">
        <f>(E9^2)/(3.1416*B13*B11)</f>
        <v>0.012696859341291451</v>
      </c>
      <c r="J9" s="10">
        <f>B33*((B36+2*(B22+B18))/(2*B12))*((H9+2*MIN(H5:H20))/3)+0.01*B35*B34/B12</f>
        <v>0.010154112820512822</v>
      </c>
      <c r="K9" s="13">
        <f>0.000624362*(H9+I9+J9)*B12*(D9/3.6)^2</f>
        <v>0.04932823969657182</v>
      </c>
      <c r="L9" s="14">
        <f t="shared" si="1"/>
        <v>12.739159936388491</v>
      </c>
      <c r="M9" s="13">
        <f t="shared" si="0"/>
        <v>0.7106302539753688</v>
      </c>
    </row>
    <row r="10" spans="1:13" ht="12.75">
      <c r="A10" s="27" t="s">
        <v>70</v>
      </c>
      <c r="B10" s="19">
        <f>1.3*B11</f>
        <v>1.105</v>
      </c>
      <c r="C10" s="27" t="s">
        <v>67</v>
      </c>
      <c r="D10" s="12">
        <f>Motorisation!F8+5*(Motorisation!F9-Motorisation!F8)/15</f>
        <v>35.53617204917202</v>
      </c>
      <c r="E10" s="13">
        <f>20.7572*Motorisation!F6/D10^2</f>
        <v>0.3972741531350327</v>
      </c>
      <c r="F10" s="14">
        <f>E10/B15</f>
        <v>5.296475946885724</v>
      </c>
      <c r="G10" s="12">
        <f>INT(3.5*(B7+B8)*D10/3.6)*10000</f>
        <v>130000</v>
      </c>
      <c r="H10" s="15">
        <v>0.013</v>
      </c>
      <c r="I10" s="10">
        <f>(E10^2)/(3.1416*B13*B11)</f>
        <v>0.00909279605914025</v>
      </c>
      <c r="J10" s="10">
        <f>B33*((B36+2*(B22+B18))/(2*B12))*((H10+2*MIN(H5:H20))/3)+0.01*B35*B34/B12</f>
        <v>0.009943579487179489</v>
      </c>
      <c r="K10" s="13">
        <f>0.000624362*(H10+I10+J10)*B12*(D10/3.6)^2</f>
        <v>0.050674500121960404</v>
      </c>
      <c r="L10" s="14">
        <f t="shared" si="1"/>
        <v>12.40072094175056</v>
      </c>
      <c r="M10" s="13">
        <f t="shared" si="0"/>
        <v>0.7934392791001357</v>
      </c>
    </row>
    <row r="11" spans="1:13" ht="12.75">
      <c r="A11" s="27" t="s">
        <v>63</v>
      </c>
      <c r="B11" s="7">
        <v>0.85</v>
      </c>
      <c r="C11" s="27" t="s">
        <v>66</v>
      </c>
      <c r="D11" s="12">
        <f>Motorisation!F8+6*(Motorisation!F9-Motorisation!F8)/15</f>
        <v>38.38189180425482</v>
      </c>
      <c r="E11" s="13">
        <f>20.7572*Motorisation!F6/D11^2</f>
        <v>0.3405484002873451</v>
      </c>
      <c r="F11" s="14">
        <f>E11/B15</f>
        <v>4.540205791488424</v>
      </c>
      <c r="G11" s="12">
        <f>INT(3.5*(B7+B8)*D11/3.6)*10000</f>
        <v>140000</v>
      </c>
      <c r="H11" s="15">
        <v>0.012</v>
      </c>
      <c r="I11" s="10">
        <f>(E11^2)/(3.1416*B13*B11)</f>
        <v>0.0066815083957720385</v>
      </c>
      <c r="J11" s="10">
        <f>B33*((B36+2*(B22+B18))/(2*B12))*((H11+2*MIN(H5:H20))/3)+0.01*B35*B34/B12</f>
        <v>0.009733046153846157</v>
      </c>
      <c r="K11" s="13">
        <f>0.000624362*(H11+I11+J11)*B12*(D11/3.6)^2</f>
        <v>0.05243224040765348</v>
      </c>
      <c r="L11" s="14">
        <f t="shared" si="1"/>
        <v>11.984998733401612</v>
      </c>
      <c r="M11" s="13">
        <f t="shared" si="0"/>
        <v>0.8865013010423998</v>
      </c>
    </row>
    <row r="12" spans="1:13" ht="12.75">
      <c r="A12" s="27" t="s">
        <v>39</v>
      </c>
      <c r="B12" s="18">
        <f>100*B6*(B7+B8)/2</f>
        <v>26</v>
      </c>
      <c r="C12" s="27" t="s">
        <v>2</v>
      </c>
      <c r="D12" s="12">
        <f>Motorisation!F8+7*(Motorisation!F9-Motorisation!F8)/15</f>
        <v>41.22761155933762</v>
      </c>
      <c r="E12" s="13">
        <f>20.7572*Motorisation!F6/D12^2</f>
        <v>0.295158467790134</v>
      </c>
      <c r="F12" s="14">
        <f>E12/B15</f>
        <v>3.935065276292281</v>
      </c>
      <c r="G12" s="12">
        <f>INT(3.5*(B7+B8)*D12/3.6)*10000</f>
        <v>160000</v>
      </c>
      <c r="H12" s="15">
        <v>0.012</v>
      </c>
      <c r="I12" s="10">
        <f>(E12^2)/(3.1416*B13*B11)</f>
        <v>0.005019117048362224</v>
      </c>
      <c r="J12" s="10">
        <f>B33*((B36+2*(B22+B18))/(2*B12))*((H12+2*MIN(H5:H20))/3)+0.01*B35*B34/B12</f>
        <v>0.009733046153846157</v>
      </c>
      <c r="K12" s="13">
        <f>0.000624362*(H12+I12+J12)*B12*(D12/3.6)^2</f>
        <v>0.056956076648477454</v>
      </c>
      <c r="L12" s="14">
        <f t="shared" si="1"/>
        <v>11.033069197401158</v>
      </c>
      <c r="M12" s="13">
        <f t="shared" si="0"/>
        <v>1.0337434160797387</v>
      </c>
    </row>
    <row r="13" spans="1:13" ht="12.75">
      <c r="A13" s="27" t="s">
        <v>12</v>
      </c>
      <c r="B13" s="9">
        <f>100*B6*B6/B12</f>
        <v>6.5</v>
      </c>
      <c r="C13" s="27"/>
      <c r="D13" s="12">
        <f>Motorisation!F8+8*(Motorisation!F9-Motorisation!F8)/15</f>
        <v>44.073331314420415</v>
      </c>
      <c r="E13" s="13">
        <f>20.7572*Motorisation!F6/D13^2</f>
        <v>0.2582734963764411</v>
      </c>
      <c r="F13" s="14">
        <f>E13/B15</f>
        <v>3.443313264860041</v>
      </c>
      <c r="G13" s="12">
        <f>INT(3.5*(B7+B8)*D13/3.6)*10000</f>
        <v>170000</v>
      </c>
      <c r="H13" s="15">
        <v>0.012</v>
      </c>
      <c r="I13" s="10">
        <f>(E13^2)/(3.1416*B13*B11)</f>
        <v>0.003843054231265363</v>
      </c>
      <c r="J13" s="10">
        <f>B33*((B36+2*(B22+B18))/(2*B12))*((H13+2*MIN(H5:H20))/3)+0.01*B35*B34/B12</f>
        <v>0.009733046153846157</v>
      </c>
      <c r="K13" s="13">
        <f>0.000624362*(H13+I13+J13)*B12*(D13/3.6)^2</f>
        <v>0.06222872370682094</v>
      </c>
      <c r="L13" s="14">
        <f t="shared" si="1"/>
        <v>10.098235950261929</v>
      </c>
      <c r="M13" s="13">
        <f t="shared" si="0"/>
        <v>1.2064485536343883</v>
      </c>
    </row>
    <row r="14" spans="1:13" ht="12.75">
      <c r="A14" s="27" t="s">
        <v>100</v>
      </c>
      <c r="B14" s="10">
        <f>0.1097*B6/(SQRT((B6/2)^2+(B7-B8)^2)+B6/2+B8)</f>
        <v>0.09507333333333334</v>
      </c>
      <c r="C14" s="27"/>
      <c r="D14" s="12">
        <f>Motorisation!F8+9*(Motorisation!F9-Motorisation!F8)/15</f>
        <v>46.91905106950322</v>
      </c>
      <c r="E14" s="13">
        <f>20.7572*Motorisation!F6/D14^2</f>
        <v>0.2278941401376439</v>
      </c>
      <c r="F14" s="14">
        <f>E14/B15</f>
        <v>3.038294392298323</v>
      </c>
      <c r="G14" s="12">
        <f>INT(3.5*(B7+B8)*D14/3.6)*10000</f>
        <v>180000</v>
      </c>
      <c r="H14" s="15">
        <v>0.012</v>
      </c>
      <c r="I14" s="10">
        <f>(E14^2)/(3.1416*B13*B11)</f>
        <v>0.002992148515214662</v>
      </c>
      <c r="J14" s="10">
        <f>B33*((B36+2*(B22+B18))/(2*B12))*((H14+2*MIN(H5:H20))/3)+0.01*B35*B34/B12</f>
        <v>0.009733046153846157</v>
      </c>
      <c r="K14" s="13">
        <f>0.000624362*(H14+I14+J14)*B12*(D14/3.6)^2</f>
        <v>0.06817779781659364</v>
      </c>
      <c r="L14" s="14">
        <f t="shared" si="1"/>
        <v>9.21708173334679</v>
      </c>
      <c r="M14" s="13">
        <f t="shared" si="0"/>
        <v>1.4057631939888866</v>
      </c>
    </row>
    <row r="15" spans="1:13" ht="12.75">
      <c r="A15" s="27" t="s">
        <v>101</v>
      </c>
      <c r="B15" s="10">
        <f>1/(1/B14+18.29/B13)</f>
        <v>0.07500726088799214</v>
      </c>
      <c r="C15" s="27"/>
      <c r="D15" s="12">
        <f>Motorisation!F8+10*(Motorisation!F9-Motorisation!F8)/15</f>
        <v>49.76477082458601</v>
      </c>
      <c r="E15" s="13">
        <f>20.7572*Motorisation!F6/D15^2</f>
        <v>0.20257580875548029</v>
      </c>
      <c r="F15" s="14">
        <f>E15/B15</f>
        <v>2.7007493188957454</v>
      </c>
      <c r="G15" s="12">
        <f>INT(3.5*(B7+B8)*D15/3.6)*10000</f>
        <v>190000</v>
      </c>
      <c r="H15" s="15">
        <v>0.012</v>
      </c>
      <c r="I15" s="10">
        <f>(E15^2)/(3.1416*B13*B11)</f>
        <v>0.0023642423489392338</v>
      </c>
      <c r="J15" s="10">
        <f>B33*((B36+2*(B22+B18))/(2*B12))*((H15+2*MIN(H5:H20))/3)+0.01*B35*B34/B12</f>
        <v>0.009733046153846157</v>
      </c>
      <c r="K15" s="13">
        <f>0.000624362*(H15+I15+J15)*B12*(D15/3.6)^2</f>
        <v>0.07475099942960708</v>
      </c>
      <c r="L15" s="14">
        <f t="shared" si="1"/>
        <v>8.406581044670842</v>
      </c>
      <c r="M15" s="13">
        <f t="shared" si="0"/>
        <v>1.632860084574088</v>
      </c>
    </row>
    <row r="16" spans="1:13" ht="12.75">
      <c r="A16" s="27"/>
      <c r="B16" s="27"/>
      <c r="C16" s="27"/>
      <c r="D16" s="12">
        <f>Motorisation!F8+11*(Motorisation!F9-Motorisation!F8)/15</f>
        <v>52.610490579668806</v>
      </c>
      <c r="E16" s="13">
        <f>20.7572*Motorisation!F6/D16^2</f>
        <v>0.18125370605250504</v>
      </c>
      <c r="F16" s="14">
        <f>E16/B15</f>
        <v>2.416482136618347</v>
      </c>
      <c r="G16" s="12">
        <f>INT(3.5*(B7+B8)*D16/3.6)*10000</f>
        <v>200000</v>
      </c>
      <c r="H16" s="15">
        <v>0.012</v>
      </c>
      <c r="I16" s="10">
        <f>(E16^2)/(3.1416*B13*B11)</f>
        <v>0.0018927385162569783</v>
      </c>
      <c r="J16" s="10">
        <f>B33*((B36+2*(B22+B18))/(2*B12))*((H16+2*MIN(H5:H20))/3)+0.01*B35*B34/B12</f>
        <v>0.009733046153846157</v>
      </c>
      <c r="K16" s="13">
        <f>0.000624362*(H16+I16+J16)*B12*(D16/3.6)^2</f>
        <v>0.08190977895966434</v>
      </c>
      <c r="L16" s="14">
        <f t="shared" si="1"/>
        <v>7.671859732213237</v>
      </c>
      <c r="M16" s="13">
        <f t="shared" si="0"/>
        <v>1.8889080229278319</v>
      </c>
    </row>
    <row r="17" spans="1:13" ht="12.75">
      <c r="A17" s="26" t="s">
        <v>79</v>
      </c>
      <c r="B17" s="27"/>
      <c r="C17" s="27"/>
      <c r="D17" s="12">
        <f>Motorisation!F8+12*(Motorisation!F9-Motorisation!F8)/15</f>
        <v>55.4562103347516</v>
      </c>
      <c r="E17" s="13">
        <f>20.75*Motorisation!F6/D17^2</f>
        <v>0.16307243381330552</v>
      </c>
      <c r="F17" s="14">
        <f>E17/B15</f>
        <v>2.1740886399894075</v>
      </c>
      <c r="G17" s="12">
        <f>INT(3.5*(B7+B8)*D17/3.6)*10000</f>
        <v>210000</v>
      </c>
      <c r="H17" s="15">
        <v>0.012</v>
      </c>
      <c r="I17" s="10">
        <f>(E17^2)/(3.1416*B13*B11)</f>
        <v>0.0015320676249814147</v>
      </c>
      <c r="J17" s="10">
        <f>B33*((B36+2*(B22+B18))/(2*B12))*((H17+2*MIN(H5:H20))/3)+0.01*B35*B34/B12</f>
        <v>0.009733046153846157</v>
      </c>
      <c r="K17" s="13">
        <f>0.000624362*(H17+I17+J17)*B12*(D17/3.6)^2</f>
        <v>0.08962111995939942</v>
      </c>
      <c r="L17" s="14">
        <f t="shared" si="1"/>
        <v>7.009311682872992</v>
      </c>
      <c r="M17" s="13">
        <f t="shared" si="0"/>
        <v>2.1756893443757552</v>
      </c>
    </row>
    <row r="18" spans="1:13" ht="12.75">
      <c r="A18" s="27" t="s">
        <v>23</v>
      </c>
      <c r="B18" s="19">
        <v>1.575</v>
      </c>
      <c r="C18" s="27" t="s">
        <v>2</v>
      </c>
      <c r="D18" s="12">
        <f>Motorisation!F8+13*(Motorisation!F9-Motorisation!F8)/15</f>
        <v>58.3019300898344</v>
      </c>
      <c r="E18" s="13">
        <f>20.7572*Motorisation!F6/D18^2</f>
        <v>0.14759299088696087</v>
      </c>
      <c r="F18" s="14">
        <f>E18/B15</f>
        <v>1.9677160469485817</v>
      </c>
      <c r="G18" s="12">
        <f>INT(3.5*(B7+B8)*D18/3.6)*10000</f>
        <v>220000</v>
      </c>
      <c r="H18" s="15">
        <v>0.012</v>
      </c>
      <c r="I18" s="10">
        <f>(E18^2)/(3.1416*B13*B11)</f>
        <v>0.0012550132081850394</v>
      </c>
      <c r="J18" s="10">
        <f>B33*((B36+2*(B22+B18))/(2*B12))*((H18+2*MIN(H5:H20))/3)+0.01*B35*B34/B12</f>
        <v>0.009733046153846157</v>
      </c>
      <c r="K18" s="13">
        <f>0.000624362*(H18+I18+J18)*B12*(D18/3.6)^2</f>
        <v>0.0978752724937571</v>
      </c>
      <c r="L18" s="14">
        <f t="shared" si="1"/>
        <v>6.4204197736994075</v>
      </c>
      <c r="M18" s="13">
        <f t="shared" si="0"/>
        <v>2.4923676781450674</v>
      </c>
    </row>
    <row r="19" spans="1:13" ht="12.75">
      <c r="A19" s="27" t="s">
        <v>98</v>
      </c>
      <c r="B19" s="7">
        <v>0.46</v>
      </c>
      <c r="C19" s="27" t="s">
        <v>1</v>
      </c>
      <c r="D19" s="12">
        <f>Motorisation!F8+14*(Motorisation!F9-Motorisation!F8)/15</f>
        <v>61.1476498449172</v>
      </c>
      <c r="E19" s="13">
        <f>20.7572*Motorisation!F6/D19^2</f>
        <v>0.13417514037183617</v>
      </c>
      <c r="F19" s="14">
        <f>E19/B15</f>
        <v>1.788828691827569</v>
      </c>
      <c r="G19" s="12">
        <f>INT(3.5*(B7+B8)*D19/3.6)*10000</f>
        <v>230000</v>
      </c>
      <c r="H19" s="15">
        <v>0.012</v>
      </c>
      <c r="I19" s="10">
        <f>(E19^2)/(3.1416*B13*B11)</f>
        <v>0.0010371962693478344</v>
      </c>
      <c r="J19" s="10">
        <f>B33*((B36+2*(B22+B18))/(2*B12))*((H19+2*MIN(H5:H20))/3)+0.01*B35*B34/B12</f>
        <v>0.009733046153846157</v>
      </c>
      <c r="K19" s="13">
        <f>0.000624362*(H19+I19+J19)*B12*(D19/3.6)^2</f>
        <v>0.10664291406194498</v>
      </c>
      <c r="L19" s="14">
        <f t="shared" si="1"/>
        <v>5.89256529983906</v>
      </c>
      <c r="M19" s="13">
        <f t="shared" si="0"/>
        <v>2.8418909276000153</v>
      </c>
    </row>
    <row r="20" spans="1:13" ht="12.75">
      <c r="A20" s="27" t="s">
        <v>17</v>
      </c>
      <c r="B20" s="7">
        <v>0.14</v>
      </c>
      <c r="C20" s="27" t="s">
        <v>1</v>
      </c>
      <c r="D20" s="12">
        <f>Motorisation!F8+15*(Motorisation!F9-Motorisation!F8)/15</f>
        <v>63.993369599999994</v>
      </c>
      <c r="E20" s="13">
        <f>20.7572*Motorisation!F6/D20^2</f>
        <v>0.1225072075992227</v>
      </c>
      <c r="F20" s="14">
        <f>E20/B15</f>
        <v>1.6332713146552829</v>
      </c>
      <c r="G20" s="12">
        <f>INT(3.5*(B7+B8)*D20/3.6)*10000</f>
        <v>240000</v>
      </c>
      <c r="H20" s="15">
        <v>0.012</v>
      </c>
      <c r="I20" s="10">
        <f>(E20^2)/(3.1416*B13*B11)</f>
        <v>0.0008646495323453391</v>
      </c>
      <c r="J20" s="10">
        <f>B33*((B36+2*(B22+B18))/(2*B12))*((H20+2*MIN(H5:H20))/3)+0.01*B35*B34/B12</f>
        <v>0.009733046153846157</v>
      </c>
      <c r="K20" s="13">
        <f>0.000624362*(H20+I20+J20)*B12*(D20/3.6)^2</f>
        <v>0.11591480872754176</v>
      </c>
      <c r="L20" s="14">
        <f t="shared" si="1"/>
        <v>5.421225655060118</v>
      </c>
      <c r="M20" s="13">
        <f t="shared" si="0"/>
        <v>3.224551816269035</v>
      </c>
    </row>
    <row r="21" spans="1:14" ht="12.75">
      <c r="A21" s="27" t="s">
        <v>18</v>
      </c>
      <c r="B21" s="7">
        <v>0.14</v>
      </c>
      <c r="C21" s="27" t="s">
        <v>1</v>
      </c>
      <c r="D21" s="5"/>
      <c r="E21" s="5"/>
      <c r="F21" s="5"/>
      <c r="N21" s="1"/>
    </row>
    <row r="22" spans="1:14" ht="12.75">
      <c r="A22" s="27" t="s">
        <v>60</v>
      </c>
      <c r="B22" s="18">
        <f>100*B19*(B20+B21)/2</f>
        <v>6.44</v>
      </c>
      <c r="C22" s="27" t="s">
        <v>2</v>
      </c>
      <c r="N22" s="1"/>
    </row>
    <row r="23" spans="1:14" ht="12.75">
      <c r="A23" s="27" t="s">
        <v>99</v>
      </c>
      <c r="B23" s="9">
        <f>100*B19*B19/B22</f>
        <v>3.2857142857142856</v>
      </c>
      <c r="C23" s="27"/>
      <c r="N23" s="1"/>
    </row>
    <row r="24" spans="1:14" ht="12.75">
      <c r="A24" s="27" t="s">
        <v>102</v>
      </c>
      <c r="B24" s="10">
        <f>0.1097*B19/(SQRT((B19/2)^2+(B20-B21)^2)+B19/2+B21)</f>
        <v>0.08410333333333334</v>
      </c>
      <c r="C24" s="27"/>
      <c r="N24" s="1"/>
    </row>
    <row r="25" spans="1:14" ht="12.75">
      <c r="A25" s="27" t="s">
        <v>103</v>
      </c>
      <c r="B25" s="10">
        <f>1/(1/B24+18.29/B23)</f>
        <v>0.057284737065191056</v>
      </c>
      <c r="C25" s="27"/>
      <c r="N25" s="1"/>
    </row>
    <row r="26" spans="1:14" ht="12.75">
      <c r="A26" s="27"/>
      <c r="B26" s="27"/>
      <c r="C26" s="27"/>
      <c r="N26" s="1"/>
    </row>
    <row r="27" spans="1:14" ht="12.75">
      <c r="A27" s="26" t="s">
        <v>19</v>
      </c>
      <c r="B27" s="27"/>
      <c r="C27" s="27"/>
      <c r="N27" s="1"/>
    </row>
    <row r="28" spans="1:3" ht="12.75">
      <c r="A28" s="27" t="s">
        <v>20</v>
      </c>
      <c r="B28" s="7">
        <v>0.81</v>
      </c>
      <c r="C28" s="27" t="s">
        <v>1</v>
      </c>
    </row>
    <row r="29" spans="1:3" ht="12.75">
      <c r="A29" s="27" t="s">
        <v>21</v>
      </c>
      <c r="B29" s="7">
        <v>8</v>
      </c>
      <c r="C29" s="27" t="s">
        <v>41</v>
      </c>
    </row>
    <row r="30" spans="1:3" ht="12.75">
      <c r="A30" s="27" t="s">
        <v>22</v>
      </c>
      <c r="B30" s="7">
        <v>4</v>
      </c>
      <c r="C30" s="27" t="s">
        <v>41</v>
      </c>
    </row>
    <row r="31" spans="1:3" ht="12.75">
      <c r="A31" s="27" t="s">
        <v>68</v>
      </c>
      <c r="B31" s="7">
        <v>0.95</v>
      </c>
      <c r="C31" s="27" t="s">
        <v>26</v>
      </c>
    </row>
    <row r="32" spans="1:3" ht="12.75">
      <c r="A32" s="27" t="s">
        <v>69</v>
      </c>
      <c r="B32" s="7">
        <v>0.5</v>
      </c>
      <c r="C32" s="27" t="s">
        <v>25</v>
      </c>
    </row>
    <row r="33" spans="1:3" ht="12.75">
      <c r="A33" s="27" t="s">
        <v>36</v>
      </c>
      <c r="B33" s="7">
        <v>1.3</v>
      </c>
      <c r="C33" s="27" t="s">
        <v>34</v>
      </c>
    </row>
    <row r="34" spans="1:3" ht="12.75">
      <c r="A34" s="27" t="s">
        <v>24</v>
      </c>
      <c r="B34" s="7">
        <v>7</v>
      </c>
      <c r="C34" s="27" t="s">
        <v>42</v>
      </c>
    </row>
    <row r="35" spans="1:3" ht="12.75">
      <c r="A35" s="27" t="s">
        <v>37</v>
      </c>
      <c r="B35" s="7">
        <v>0.8</v>
      </c>
      <c r="C35" s="27" t="s">
        <v>38</v>
      </c>
    </row>
    <row r="36" spans="1:3" ht="12.75">
      <c r="A36" s="27" t="s">
        <v>28</v>
      </c>
      <c r="B36" s="18">
        <f>2*(B28*(B29+B30)*B31*B32)</f>
        <v>9.234</v>
      </c>
      <c r="C36" s="27" t="s">
        <v>2</v>
      </c>
    </row>
  </sheetData>
  <sheetProtection password="C81D" sheet="1" objects="1" scenarios="1"/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0" sqref="A30"/>
    </sheetView>
  </sheetViews>
  <sheetFormatPr defaultColWidth="11.421875" defaultRowHeight="12.75"/>
  <sheetData>
    <row r="1" ht="12.75">
      <c r="A1" t="s">
        <v>47</v>
      </c>
    </row>
    <row r="2" ht="12.75">
      <c r="A2" t="s">
        <v>146</v>
      </c>
    </row>
    <row r="3" ht="12.75">
      <c r="A3" t="s">
        <v>147</v>
      </c>
    </row>
    <row r="4" ht="12.75">
      <c r="A4" t="s">
        <v>148</v>
      </c>
    </row>
    <row r="6" ht="12.75">
      <c r="A6" s="3" t="s">
        <v>16</v>
      </c>
    </row>
    <row r="7" ht="12.75">
      <c r="A7" t="s">
        <v>48</v>
      </c>
    </row>
    <row r="8" ht="12.75">
      <c r="A8" t="s">
        <v>49</v>
      </c>
    </row>
    <row r="9" ht="12.75">
      <c r="A9" t="s">
        <v>64</v>
      </c>
    </row>
    <row r="10" ht="12.75">
      <c r="A10" t="s">
        <v>50</v>
      </c>
    </row>
    <row r="11" ht="12.75">
      <c r="A11" t="s">
        <v>51</v>
      </c>
    </row>
    <row r="13" ht="12.75">
      <c r="A13" s="3" t="s">
        <v>79</v>
      </c>
    </row>
    <row r="14" ht="12.75">
      <c r="A14" t="s">
        <v>152</v>
      </c>
    </row>
    <row r="15" ht="12.75">
      <c r="A15" t="s">
        <v>153</v>
      </c>
    </row>
    <row r="17" ht="12.75">
      <c r="A17" s="3" t="s">
        <v>19</v>
      </c>
    </row>
    <row r="18" ht="12.75">
      <c r="A18" t="s">
        <v>154</v>
      </c>
    </row>
    <row r="19" ht="12.75">
      <c r="A19" t="s">
        <v>155</v>
      </c>
    </row>
    <row r="20" ht="12.75">
      <c r="A20" t="s">
        <v>52</v>
      </c>
    </row>
    <row r="21" ht="12.75">
      <c r="A21" t="s">
        <v>156</v>
      </c>
    </row>
    <row r="22" ht="12.75">
      <c r="A22" t="s">
        <v>57</v>
      </c>
    </row>
    <row r="23" ht="12.75">
      <c r="A23" t="s">
        <v>53</v>
      </c>
    </row>
    <row r="24" ht="12.75">
      <c r="A24" t="s">
        <v>157</v>
      </c>
    </row>
    <row r="25" ht="12.75">
      <c r="A25" t="s">
        <v>54</v>
      </c>
    </row>
    <row r="26" ht="12.75">
      <c r="A26" t="s">
        <v>158</v>
      </c>
    </row>
    <row r="27" ht="12.75">
      <c r="A27" t="s">
        <v>159</v>
      </c>
    </row>
    <row r="28" ht="12.75">
      <c r="A28" t="s">
        <v>61</v>
      </c>
    </row>
    <row r="29" ht="12.75">
      <c r="A29" t="s">
        <v>160</v>
      </c>
    </row>
    <row r="31" ht="12.75">
      <c r="A31" s="3" t="s">
        <v>11</v>
      </c>
    </row>
    <row r="32" ht="12.75">
      <c r="A32" t="s">
        <v>56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="80" zoomScaleNormal="80" zoomScalePageLayoutView="0" workbookViewId="0" topLeftCell="A1">
      <selection activeCell="I18" sqref="I18"/>
    </sheetView>
  </sheetViews>
  <sheetFormatPr defaultColWidth="11.421875" defaultRowHeight="12.75"/>
  <cols>
    <col min="1" max="1" width="20.00390625" style="0" customWidth="1"/>
    <col min="2" max="2" width="8.140625" style="0" customWidth="1"/>
    <col min="3" max="3" width="3.140625" style="0" customWidth="1"/>
    <col min="4" max="4" width="8.421875" style="0" customWidth="1"/>
    <col min="5" max="5" width="4.140625" style="0" customWidth="1"/>
    <col min="6" max="6" width="11.421875" style="0" hidden="1" customWidth="1"/>
    <col min="7" max="7" width="5.7109375" style="0" customWidth="1"/>
    <col min="8" max="8" width="18.00390625" style="0" customWidth="1"/>
    <col min="9" max="9" width="7.7109375" style="0" customWidth="1"/>
    <col min="10" max="10" width="8.7109375" style="0" customWidth="1"/>
  </cols>
  <sheetData>
    <row r="1" spans="1:10" ht="20.25">
      <c r="A1" s="27"/>
      <c r="B1" s="28" t="s">
        <v>134</v>
      </c>
      <c r="C1" s="27"/>
      <c r="D1" s="28"/>
      <c r="E1" s="28"/>
      <c r="F1" s="27"/>
      <c r="G1" s="27"/>
      <c r="H1" s="28" t="s">
        <v>94</v>
      </c>
      <c r="I1" s="27"/>
      <c r="J1" s="27"/>
    </row>
    <row r="2" spans="1:10" ht="12.75">
      <c r="A2" s="27"/>
      <c r="B2" s="27"/>
      <c r="C2" s="27"/>
      <c r="D2" s="27"/>
      <c r="E2" s="27"/>
      <c r="F2" s="27"/>
      <c r="G2" s="27"/>
      <c r="H2" s="27"/>
      <c r="I2" s="27"/>
      <c r="J2" s="27"/>
    </row>
    <row r="3" spans="1:10" ht="12.75">
      <c r="A3" s="26" t="s">
        <v>76</v>
      </c>
      <c r="B3" s="26" t="s">
        <v>75</v>
      </c>
      <c r="C3" s="27"/>
      <c r="D3" s="26" t="s">
        <v>74</v>
      </c>
      <c r="E3" s="26"/>
      <c r="F3" s="26" t="s">
        <v>73</v>
      </c>
      <c r="G3" s="27"/>
      <c r="H3" s="27"/>
      <c r="I3" s="27"/>
      <c r="J3" s="27"/>
    </row>
    <row r="4" spans="1:10" ht="12.75">
      <c r="A4" s="27"/>
      <c r="B4" s="27"/>
      <c r="C4" s="27"/>
      <c r="D4" s="27"/>
      <c r="E4" s="27"/>
      <c r="F4" s="27"/>
      <c r="G4" s="27"/>
      <c r="H4" s="27"/>
      <c r="I4" s="27"/>
      <c r="J4" s="27"/>
    </row>
    <row r="5" spans="1:10" ht="12.75">
      <c r="A5" s="27" t="s">
        <v>81</v>
      </c>
      <c r="B5" s="7">
        <f>90+93+10+10+5</f>
        <v>208</v>
      </c>
      <c r="C5" s="27" t="s">
        <v>95</v>
      </c>
      <c r="D5" s="7">
        <v>8.8</v>
      </c>
      <c r="E5" s="27" t="s">
        <v>41</v>
      </c>
      <c r="F5" s="27">
        <f>B5*D5</f>
        <v>1830.4</v>
      </c>
      <c r="G5" s="27"/>
      <c r="H5" s="27" t="s">
        <v>97</v>
      </c>
      <c r="I5" s="31">
        <v>5.04</v>
      </c>
      <c r="J5" s="27" t="s">
        <v>41</v>
      </c>
    </row>
    <row r="6" spans="1:10" ht="12.75">
      <c r="A6" s="27" t="s">
        <v>79</v>
      </c>
      <c r="B6" s="7">
        <f>33+11+2</f>
        <v>46</v>
      </c>
      <c r="C6" s="27" t="s">
        <v>95</v>
      </c>
      <c r="D6" s="7">
        <v>65.4</v>
      </c>
      <c r="E6" s="27" t="s">
        <v>41</v>
      </c>
      <c r="F6" s="27">
        <f aca="true" t="shared" si="0" ref="F6:F19">B6*D6</f>
        <v>3008.4</v>
      </c>
      <c r="G6" s="27"/>
      <c r="H6" s="27" t="s">
        <v>96</v>
      </c>
      <c r="I6" s="31">
        <v>20</v>
      </c>
      <c r="J6" s="27" t="s">
        <v>41</v>
      </c>
    </row>
    <row r="7" spans="1:10" ht="12.75">
      <c r="A7" s="27" t="s">
        <v>82</v>
      </c>
      <c r="B7" s="7">
        <f>81+9+20</f>
        <v>110</v>
      </c>
      <c r="C7" s="27" t="s">
        <v>95</v>
      </c>
      <c r="D7" s="7">
        <v>10.1</v>
      </c>
      <c r="E7" s="27" t="s">
        <v>41</v>
      </c>
      <c r="F7" s="27">
        <f t="shared" si="0"/>
        <v>1111</v>
      </c>
      <c r="G7" s="27"/>
      <c r="H7" s="27"/>
      <c r="I7" s="32"/>
      <c r="J7" s="27"/>
    </row>
    <row r="8" spans="1:10" ht="12.75">
      <c r="A8" s="27" t="s">
        <v>83</v>
      </c>
      <c r="B8" s="7">
        <f>36+4</f>
        <v>40</v>
      </c>
      <c r="C8" s="27" t="s">
        <v>95</v>
      </c>
      <c r="D8" s="7">
        <v>-8.2</v>
      </c>
      <c r="E8" s="27" t="s">
        <v>41</v>
      </c>
      <c r="F8" s="27">
        <f t="shared" si="0"/>
        <v>-328</v>
      </c>
      <c r="G8" s="27"/>
      <c r="H8" s="27" t="s">
        <v>135</v>
      </c>
      <c r="I8" s="7">
        <v>0.4</v>
      </c>
      <c r="J8" s="27" t="s">
        <v>105</v>
      </c>
    </row>
    <row r="9" spans="1:10" ht="12.75">
      <c r="A9" s="27" t="s">
        <v>84</v>
      </c>
      <c r="B9" s="7">
        <f>41.5+13.9</f>
        <v>55.4</v>
      </c>
      <c r="C9" s="27" t="s">
        <v>95</v>
      </c>
      <c r="D9" s="7">
        <v>-11.4</v>
      </c>
      <c r="E9" s="27" t="s">
        <v>41</v>
      </c>
      <c r="F9" s="27">
        <f t="shared" si="0"/>
        <v>-631.5600000000001</v>
      </c>
      <c r="G9" s="27"/>
      <c r="H9" s="27" t="s">
        <v>104</v>
      </c>
      <c r="I9" s="7">
        <v>0.6</v>
      </c>
      <c r="J9" s="27" t="s">
        <v>106</v>
      </c>
    </row>
    <row r="10" spans="1:10" ht="12.75">
      <c r="A10" s="27" t="s">
        <v>85</v>
      </c>
      <c r="B10" s="7">
        <v>29</v>
      </c>
      <c r="C10" s="27" t="s">
        <v>95</v>
      </c>
      <c r="D10" s="7">
        <v>-9.5</v>
      </c>
      <c r="E10" s="27" t="s">
        <v>41</v>
      </c>
      <c r="F10" s="27">
        <f t="shared" si="0"/>
        <v>-275.5</v>
      </c>
      <c r="G10" s="27"/>
      <c r="H10" s="27" t="s">
        <v>136</v>
      </c>
      <c r="I10" s="7">
        <v>59</v>
      </c>
      <c r="J10" s="27" t="s">
        <v>41</v>
      </c>
    </row>
    <row r="11" spans="1:10" ht="12.75">
      <c r="A11" s="27" t="s">
        <v>86</v>
      </c>
      <c r="B11" s="7">
        <f>65+5</f>
        <v>70</v>
      </c>
      <c r="C11" s="27" t="s">
        <v>95</v>
      </c>
      <c r="D11" s="7">
        <v>-9</v>
      </c>
      <c r="E11" s="27" t="s">
        <v>41</v>
      </c>
      <c r="F11" s="27">
        <f t="shared" si="0"/>
        <v>-630</v>
      </c>
      <c r="G11" s="27"/>
      <c r="H11" s="27" t="s">
        <v>151</v>
      </c>
      <c r="I11" s="9">
        <f>I5+I8*I9*I10*(Géométrie!B22/Géométrie!B12)*(Géométrie!B25/Géométrie!B15)</f>
        <v>7.718621747889742</v>
      </c>
      <c r="J11" s="27" t="s">
        <v>41</v>
      </c>
    </row>
    <row r="12" spans="1:10" ht="12.75">
      <c r="A12" s="27" t="s">
        <v>89</v>
      </c>
      <c r="B12" s="7">
        <v>17</v>
      </c>
      <c r="C12" s="27" t="s">
        <v>95</v>
      </c>
      <c r="D12" s="7"/>
      <c r="E12" s="27" t="s">
        <v>41</v>
      </c>
      <c r="F12" s="27">
        <f t="shared" si="0"/>
        <v>0</v>
      </c>
      <c r="G12" s="27"/>
      <c r="H12" s="27"/>
      <c r="I12" s="32"/>
      <c r="J12" s="27"/>
    </row>
    <row r="13" spans="1:10" ht="12.75">
      <c r="A13" s="27" t="s">
        <v>90</v>
      </c>
      <c r="B13" s="7"/>
      <c r="C13" s="27" t="s">
        <v>95</v>
      </c>
      <c r="D13" s="7"/>
      <c r="E13" s="27" t="s">
        <v>41</v>
      </c>
      <c r="F13" s="27">
        <f t="shared" si="0"/>
        <v>0</v>
      </c>
      <c r="G13" s="27"/>
      <c r="H13" s="27" t="s">
        <v>107</v>
      </c>
      <c r="I13" s="7">
        <v>5</v>
      </c>
      <c r="J13" s="27" t="s">
        <v>108</v>
      </c>
    </row>
    <row r="14" spans="1:10" ht="12.75">
      <c r="A14" s="27" t="s">
        <v>87</v>
      </c>
      <c r="B14" s="7">
        <v>20</v>
      </c>
      <c r="C14" s="27" t="s">
        <v>95</v>
      </c>
      <c r="D14" s="7">
        <v>6</v>
      </c>
      <c r="E14" s="27" t="s">
        <v>41</v>
      </c>
      <c r="F14" s="27">
        <f t="shared" si="0"/>
        <v>120</v>
      </c>
      <c r="G14" s="27"/>
      <c r="H14" s="27"/>
      <c r="I14" s="27"/>
      <c r="J14" s="27"/>
    </row>
    <row r="15" spans="1:10" ht="12.75">
      <c r="A15" s="27" t="s">
        <v>88</v>
      </c>
      <c r="B15" s="7">
        <v>8</v>
      </c>
      <c r="C15" s="27" t="s">
        <v>95</v>
      </c>
      <c r="D15" s="7">
        <v>35</v>
      </c>
      <c r="E15" s="27" t="s">
        <v>41</v>
      </c>
      <c r="F15" s="27">
        <f t="shared" si="0"/>
        <v>280</v>
      </c>
      <c r="G15" s="27"/>
      <c r="H15" s="26" t="s">
        <v>150</v>
      </c>
      <c r="I15" s="29">
        <f>I5-I6*I13/100+I8*I9*I10*(Géométrie!B22/Géométrie!B12)*(Géométrie!B25/Géométrie!B15)</f>
        <v>6.718621747889742</v>
      </c>
      <c r="J15" s="26" t="s">
        <v>41</v>
      </c>
    </row>
    <row r="16" spans="1:10" ht="12.75">
      <c r="A16" s="27" t="s">
        <v>91</v>
      </c>
      <c r="B16" s="7"/>
      <c r="C16" s="27" t="s">
        <v>95</v>
      </c>
      <c r="D16" s="7"/>
      <c r="E16" s="27" t="s">
        <v>41</v>
      </c>
      <c r="F16" s="27">
        <f t="shared" si="0"/>
        <v>0</v>
      </c>
      <c r="G16" s="27"/>
      <c r="H16" s="27"/>
      <c r="I16" s="27"/>
      <c r="J16" s="27"/>
    </row>
    <row r="17" spans="1:10" ht="12.75">
      <c r="A17" s="27" t="s">
        <v>92</v>
      </c>
      <c r="B17" s="7"/>
      <c r="C17" s="27" t="s">
        <v>95</v>
      </c>
      <c r="D17" s="7"/>
      <c r="E17" s="27" t="s">
        <v>41</v>
      </c>
      <c r="F17" s="27">
        <f t="shared" si="0"/>
        <v>0</v>
      </c>
      <c r="G17" s="27"/>
      <c r="H17" s="27"/>
      <c r="I17" s="27"/>
      <c r="J17" s="27"/>
    </row>
    <row r="18" spans="1:10" ht="12.75">
      <c r="A18" s="27" t="s">
        <v>93</v>
      </c>
      <c r="B18" s="17"/>
      <c r="C18" s="27" t="s">
        <v>95</v>
      </c>
      <c r="D18" s="7"/>
      <c r="E18" s="27" t="s">
        <v>41</v>
      </c>
      <c r="F18" s="27">
        <f t="shared" si="0"/>
        <v>0</v>
      </c>
      <c r="G18" s="27"/>
      <c r="H18" s="27"/>
      <c r="I18" s="27"/>
      <c r="J18" s="27"/>
    </row>
    <row r="19" spans="1:10" ht="12.75">
      <c r="A19" s="27" t="s">
        <v>80</v>
      </c>
      <c r="B19" s="7">
        <v>25</v>
      </c>
      <c r="C19" s="27" t="s">
        <v>95</v>
      </c>
      <c r="D19" s="7">
        <v>-9.8</v>
      </c>
      <c r="E19" s="27" t="s">
        <v>41</v>
      </c>
      <c r="F19" s="27">
        <f t="shared" si="0"/>
        <v>-245.00000000000003</v>
      </c>
      <c r="G19" s="27"/>
      <c r="H19" s="27"/>
      <c r="I19" s="27"/>
      <c r="J19" s="27"/>
    </row>
    <row r="20" spans="1:10" ht="12.75">
      <c r="A20" s="26" t="s">
        <v>137</v>
      </c>
      <c r="B20" s="30">
        <f>SUM(B5:B19)</f>
        <v>628.4</v>
      </c>
      <c r="C20" s="26" t="s">
        <v>95</v>
      </c>
      <c r="D20" s="27"/>
      <c r="E20" s="27"/>
      <c r="F20" s="26">
        <f>SUM(F5:F19)</f>
        <v>4239.74</v>
      </c>
      <c r="G20" s="27"/>
      <c r="H20" s="26" t="s">
        <v>149</v>
      </c>
      <c r="I20" s="29">
        <f>F20/B20</f>
        <v>6.746880967536601</v>
      </c>
      <c r="J20" s="26" t="s">
        <v>41</v>
      </c>
    </row>
    <row r="21" spans="1:10" ht="12.75">
      <c r="A21" s="27"/>
      <c r="B21" s="27"/>
      <c r="C21" s="27"/>
      <c r="D21" s="27"/>
      <c r="E21" s="27"/>
      <c r="F21" s="27"/>
      <c r="G21" s="27"/>
      <c r="H21" s="27"/>
      <c r="I21" s="27"/>
      <c r="J21" s="27"/>
    </row>
  </sheetData>
  <sheetProtection password="C81D" sheet="1" objects="1" scenarios="1"/>
  <printOptions/>
  <pageMargins left="0.787401575" right="0.787401575" top="0.984251969" bottom="0.984251969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7"/>
  <sheetViews>
    <sheetView zoomScalePageLayoutView="0" workbookViewId="0" topLeftCell="A1">
      <selection activeCell="A14" sqref="A14"/>
    </sheetView>
  </sheetViews>
  <sheetFormatPr defaultColWidth="11.421875" defaultRowHeight="12.75"/>
  <sheetData>
    <row r="1" ht="12.75">
      <c r="A1" t="s">
        <v>47</v>
      </c>
    </row>
    <row r="2" ht="12.75">
      <c r="A2" t="s">
        <v>146</v>
      </c>
    </row>
    <row r="3" ht="12.75">
      <c r="A3" t="s">
        <v>147</v>
      </c>
    </row>
    <row r="4" ht="12.75">
      <c r="A4" t="s">
        <v>148</v>
      </c>
    </row>
    <row r="6" ht="12.75">
      <c r="A6" s="3" t="s">
        <v>134</v>
      </c>
    </row>
    <row r="7" ht="12.75">
      <c r="A7" t="s">
        <v>161</v>
      </c>
    </row>
    <row r="8" ht="12.75">
      <c r="A8" t="s">
        <v>162</v>
      </c>
    </row>
    <row r="9" ht="12.75">
      <c r="A9" t="s">
        <v>163</v>
      </c>
    </row>
    <row r="10" ht="12.75">
      <c r="A10" t="s">
        <v>164</v>
      </c>
    </row>
    <row r="12" ht="12.75">
      <c r="A12" s="3" t="s">
        <v>94</v>
      </c>
    </row>
    <row r="13" ht="12.75">
      <c r="A13" t="s">
        <v>165</v>
      </c>
    </row>
    <row r="14" ht="12.75">
      <c r="A14" t="s">
        <v>169</v>
      </c>
    </row>
    <row r="15" ht="12.75">
      <c r="A15" t="s">
        <v>166</v>
      </c>
    </row>
    <row r="16" ht="12.75">
      <c r="A16" t="s">
        <v>167</v>
      </c>
    </row>
    <row r="17" ht="12.75">
      <c r="A17" t="s">
        <v>168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3"/>
  <sheetViews>
    <sheetView zoomScale="90" zoomScaleNormal="90" zoomScalePageLayoutView="0" workbookViewId="0" topLeftCell="A1">
      <selection activeCell="B12" sqref="B12"/>
    </sheetView>
  </sheetViews>
  <sheetFormatPr defaultColWidth="11.421875" defaultRowHeight="12.75"/>
  <cols>
    <col min="1" max="1" width="19.140625" style="0" customWidth="1"/>
    <col min="4" max="4" width="5.421875" style="0" customWidth="1"/>
    <col min="5" max="5" width="18.8515625" style="0" customWidth="1"/>
    <col min="6" max="6" width="6.421875" style="0" customWidth="1"/>
  </cols>
  <sheetData>
    <row r="1" spans="1:7" ht="26.25">
      <c r="A1" s="27"/>
      <c r="B1" s="27"/>
      <c r="C1" s="33" t="s">
        <v>29</v>
      </c>
      <c r="D1" s="27"/>
      <c r="E1" s="27"/>
      <c r="F1" s="27"/>
      <c r="G1" s="27"/>
    </row>
    <row r="2" spans="1:7" ht="12.75">
      <c r="A2" s="27"/>
      <c r="B2" s="27"/>
      <c r="C2" s="27"/>
      <c r="D2" s="27"/>
      <c r="E2" s="27"/>
      <c r="F2" s="27"/>
      <c r="G2" s="27"/>
    </row>
    <row r="3" spans="1:7" ht="12.75">
      <c r="A3" s="27"/>
      <c r="B3" s="27"/>
      <c r="C3" s="27"/>
      <c r="D3" s="27"/>
      <c r="E3" s="27"/>
      <c r="F3" s="27"/>
      <c r="G3" s="27"/>
    </row>
    <row r="4" spans="1:7" ht="12.75">
      <c r="A4" s="26" t="s">
        <v>115</v>
      </c>
      <c r="B4" s="27"/>
      <c r="C4" s="27"/>
      <c r="D4" s="27"/>
      <c r="E4" s="26" t="s">
        <v>139</v>
      </c>
      <c r="F4" s="27"/>
      <c r="G4" s="27"/>
    </row>
    <row r="5" spans="1:7" ht="12.75">
      <c r="A5" s="27" t="s">
        <v>127</v>
      </c>
      <c r="B5" s="41">
        <v>10.8</v>
      </c>
      <c r="C5" s="27" t="s">
        <v>109</v>
      </c>
      <c r="D5" s="27"/>
      <c r="E5" s="34" t="s">
        <v>27</v>
      </c>
      <c r="F5" s="23">
        <f>Centrage!B20</f>
        <v>628.4</v>
      </c>
      <c r="G5" s="27" t="s">
        <v>95</v>
      </c>
    </row>
    <row r="6" spans="1:7" ht="12.75">
      <c r="A6" s="27" t="s">
        <v>126</v>
      </c>
      <c r="B6" s="41">
        <v>10</v>
      </c>
      <c r="C6" s="27" t="s">
        <v>110</v>
      </c>
      <c r="D6" s="27"/>
      <c r="E6" s="27" t="s">
        <v>4</v>
      </c>
      <c r="F6" s="11">
        <f>F5/Géométrie!B12</f>
        <v>24.16923076923077</v>
      </c>
      <c r="G6" s="27" t="s">
        <v>5</v>
      </c>
    </row>
    <row r="7" spans="1:7" ht="12.75">
      <c r="A7" s="27" t="s">
        <v>117</v>
      </c>
      <c r="B7" s="41">
        <v>0.8</v>
      </c>
      <c r="C7" s="27" t="s">
        <v>118</v>
      </c>
      <c r="D7" s="27"/>
      <c r="E7" s="27"/>
      <c r="F7" s="27"/>
      <c r="G7" s="27"/>
    </row>
    <row r="8" spans="1:7" ht="12.75">
      <c r="A8" s="27" t="s">
        <v>116</v>
      </c>
      <c r="B8" s="41">
        <v>0.7</v>
      </c>
      <c r="C8" s="27" t="s">
        <v>119</v>
      </c>
      <c r="D8" s="27"/>
      <c r="E8" s="27" t="s">
        <v>6</v>
      </c>
      <c r="F8" s="11">
        <f>4.556*(F6/Géométrie!B10)^0.5</f>
        <v>21.30757327375804</v>
      </c>
      <c r="G8" s="27" t="s">
        <v>7</v>
      </c>
    </row>
    <row r="9" spans="1:7" ht="12.75">
      <c r="A9" s="27" t="s">
        <v>131</v>
      </c>
      <c r="B9" s="42">
        <f>B7*B8*B5*B6</f>
        <v>60.480000000000004</v>
      </c>
      <c r="C9" s="27" t="s">
        <v>111</v>
      </c>
      <c r="D9" s="27"/>
      <c r="E9" s="27" t="s">
        <v>32</v>
      </c>
      <c r="F9" s="24">
        <f>3.6*(B13/60)*B19*(1-B16)*0.0254</f>
        <v>63.993369599999994</v>
      </c>
      <c r="G9" s="27" t="s">
        <v>7</v>
      </c>
    </row>
    <row r="10" spans="1:7" ht="12.75">
      <c r="A10" s="27" t="s">
        <v>120</v>
      </c>
      <c r="B10" s="43">
        <v>1800</v>
      </c>
      <c r="C10" s="27" t="s">
        <v>123</v>
      </c>
      <c r="D10" s="27"/>
      <c r="E10" s="26" t="s">
        <v>143</v>
      </c>
      <c r="F10" s="30">
        <f>F9/F8</f>
        <v>3.0033157121094067</v>
      </c>
      <c r="G10" s="27"/>
    </row>
    <row r="11" spans="1:7" ht="12.75">
      <c r="A11" s="34" t="s">
        <v>124</v>
      </c>
      <c r="B11" s="44">
        <f>B5*B10</f>
        <v>19440</v>
      </c>
      <c r="C11" s="34" t="s">
        <v>112</v>
      </c>
      <c r="D11" s="27"/>
      <c r="E11" s="27" t="s">
        <v>43</v>
      </c>
      <c r="F11" s="11">
        <f>(F9/F8)^2</f>
        <v>9.019905266603233</v>
      </c>
      <c r="G11" s="27" t="s">
        <v>44</v>
      </c>
    </row>
    <row r="12" spans="1:7" ht="12.75">
      <c r="A12" s="27" t="s">
        <v>121</v>
      </c>
      <c r="B12" s="7">
        <v>1.25</v>
      </c>
      <c r="C12" s="27" t="s">
        <v>125</v>
      </c>
      <c r="D12" s="27"/>
      <c r="E12" s="27"/>
      <c r="F12" s="27"/>
      <c r="G12" s="27"/>
    </row>
    <row r="13" spans="1:7" ht="12.75">
      <c r="A13" s="34" t="s">
        <v>122</v>
      </c>
      <c r="B13" s="35">
        <f>B11/B12</f>
        <v>15552</v>
      </c>
      <c r="C13" s="34" t="s">
        <v>112</v>
      </c>
      <c r="D13" s="27"/>
      <c r="E13" s="27" t="s">
        <v>184</v>
      </c>
      <c r="F13" s="45">
        <f>B6/1.5</f>
        <v>6.666666666666667</v>
      </c>
      <c r="G13" s="27" t="s">
        <v>110</v>
      </c>
    </row>
    <row r="14" spans="1:7" ht="12.75">
      <c r="A14" s="27"/>
      <c r="B14" s="27"/>
      <c r="C14" s="11"/>
      <c r="D14" s="27"/>
      <c r="E14" s="27" t="s">
        <v>144</v>
      </c>
      <c r="F14" s="7">
        <v>0.8</v>
      </c>
      <c r="G14" s="27" t="s">
        <v>145</v>
      </c>
    </row>
    <row r="15" spans="1:7" ht="12.75">
      <c r="A15" s="26" t="s">
        <v>132</v>
      </c>
      <c r="B15" s="27"/>
      <c r="C15" s="27"/>
      <c r="D15" s="27"/>
      <c r="E15" s="27" t="s">
        <v>185</v>
      </c>
      <c r="F15" s="46">
        <f>2*F13/F14</f>
        <v>16.666666666666668</v>
      </c>
      <c r="G15" s="27" t="s">
        <v>186</v>
      </c>
    </row>
    <row r="16" spans="1:7" ht="12.75">
      <c r="A16" s="27" t="s">
        <v>40</v>
      </c>
      <c r="B16" s="7">
        <v>0.1</v>
      </c>
      <c r="C16" s="27" t="s">
        <v>133</v>
      </c>
      <c r="D16" s="27"/>
      <c r="E16" s="26" t="s">
        <v>128</v>
      </c>
      <c r="F16" s="36">
        <f>60*F14/F13</f>
        <v>7.199999999999999</v>
      </c>
      <c r="G16" s="37" t="s">
        <v>114</v>
      </c>
    </row>
    <row r="17" spans="1:7" ht="12.75">
      <c r="A17" s="27" t="s">
        <v>129</v>
      </c>
      <c r="B17" s="38">
        <f>B9*3.6/F9</f>
        <v>3.4023524837173134</v>
      </c>
      <c r="C17" s="27" t="s">
        <v>113</v>
      </c>
      <c r="D17" s="27"/>
      <c r="E17" s="27"/>
      <c r="F17" s="27"/>
      <c r="G17" s="27"/>
    </row>
    <row r="18" spans="1:7" ht="12.75">
      <c r="A18" s="26" t="s">
        <v>130</v>
      </c>
      <c r="B18" s="36">
        <f>(B17-Géométrie!K12)/(F5*0.00981)</f>
        <v>0.5426782331953255</v>
      </c>
      <c r="C18" s="27" t="s">
        <v>138</v>
      </c>
      <c r="D18" s="27"/>
      <c r="E18" s="27"/>
      <c r="F18" s="27"/>
      <c r="G18" s="27"/>
    </row>
    <row r="19" spans="1:7" ht="12.75">
      <c r="A19" s="27" t="s">
        <v>30</v>
      </c>
      <c r="B19" s="7">
        <v>3</v>
      </c>
      <c r="C19" s="27" t="s">
        <v>31</v>
      </c>
      <c r="D19" s="27"/>
      <c r="E19" s="27"/>
      <c r="F19" s="27"/>
      <c r="G19" s="27"/>
    </row>
    <row r="20" spans="1:7" ht="12.75">
      <c r="A20" s="39" t="s">
        <v>140</v>
      </c>
      <c r="B20" s="8">
        <v>0.9</v>
      </c>
      <c r="C20" s="27" t="s">
        <v>141</v>
      </c>
      <c r="D20" s="27"/>
      <c r="E20" s="27"/>
      <c r="F20" s="27"/>
      <c r="G20" s="27"/>
    </row>
    <row r="21" spans="1:7" ht="12.75">
      <c r="A21" s="27" t="s">
        <v>142</v>
      </c>
      <c r="B21" s="40">
        <f>(1.3*B9/(0.0000000000000047*B20*B19*(B13)^3))^0.25</f>
        <v>6.370649217436001</v>
      </c>
      <c r="C21" s="27" t="s">
        <v>31</v>
      </c>
      <c r="D21" s="27"/>
      <c r="E21" s="27"/>
      <c r="F21" s="27"/>
      <c r="G21" s="27"/>
    </row>
    <row r="22" ht="12.75">
      <c r="A22" s="3"/>
    </row>
    <row r="24" spans="2:7" ht="12.75">
      <c r="B24" s="21"/>
      <c r="D24" s="3"/>
      <c r="E24" s="3"/>
      <c r="F24" s="3"/>
      <c r="G24" s="3"/>
    </row>
    <row r="26" spans="4:7" ht="12.75">
      <c r="D26" s="3"/>
      <c r="E26" s="3"/>
      <c r="F26" s="3"/>
      <c r="G26" s="3"/>
    </row>
    <row r="27" spans="4:6" ht="12.75">
      <c r="D27" s="3"/>
      <c r="E27" s="3"/>
      <c r="F27" s="20"/>
    </row>
    <row r="28" ht="12.75">
      <c r="A28" s="3"/>
    </row>
    <row r="29" ht="12.75">
      <c r="D29" s="3"/>
    </row>
    <row r="32" ht="12.75">
      <c r="F32" s="22"/>
    </row>
    <row r="33" ht="12.75">
      <c r="F33" s="22"/>
    </row>
  </sheetData>
  <sheetProtection password="C81D" sheet="1" objects="1" scenarios="1"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="97" zoomScaleNormal="97" zoomScalePageLayoutView="0" workbookViewId="0" topLeftCell="A1">
      <selection activeCell="A26" sqref="A26"/>
    </sheetView>
  </sheetViews>
  <sheetFormatPr defaultColWidth="11.421875" defaultRowHeight="12.75"/>
  <sheetData>
    <row r="1" ht="12.75">
      <c r="A1" t="s">
        <v>47</v>
      </c>
    </row>
    <row r="2" ht="12.75">
      <c r="A2" t="s">
        <v>146</v>
      </c>
    </row>
    <row r="3" ht="12.75">
      <c r="A3" t="s">
        <v>147</v>
      </c>
    </row>
    <row r="4" ht="12.75">
      <c r="A4" t="s">
        <v>148</v>
      </c>
    </row>
    <row r="6" ht="12.75">
      <c r="A6" s="3" t="s">
        <v>115</v>
      </c>
    </row>
    <row r="7" ht="12.75">
      <c r="A7" s="25" t="s">
        <v>171</v>
      </c>
    </row>
    <row r="8" ht="12.75">
      <c r="A8" t="s">
        <v>173</v>
      </c>
    </row>
    <row r="9" ht="12.75">
      <c r="A9" s="25" t="s">
        <v>172</v>
      </c>
    </row>
    <row r="10" ht="12.75">
      <c r="A10" t="s">
        <v>174</v>
      </c>
    </row>
    <row r="11" ht="12.75">
      <c r="A11" t="s">
        <v>175</v>
      </c>
    </row>
    <row r="12" ht="12.75">
      <c r="A12" t="s">
        <v>176</v>
      </c>
    </row>
    <row r="14" ht="12.75">
      <c r="A14" s="3" t="s">
        <v>132</v>
      </c>
    </row>
    <row r="15" ht="12.75">
      <c r="A15" t="s">
        <v>177</v>
      </c>
    </row>
    <row r="16" ht="12.75">
      <c r="A16" s="3" t="s">
        <v>178</v>
      </c>
    </row>
    <row r="17" ht="12.75">
      <c r="A17" t="s">
        <v>181</v>
      </c>
    </row>
    <row r="18" ht="12.75">
      <c r="A18" s="3" t="s">
        <v>179</v>
      </c>
    </row>
    <row r="19" ht="12.75">
      <c r="A19" s="3" t="s">
        <v>180</v>
      </c>
    </row>
    <row r="21" ht="12.75">
      <c r="A21" s="3" t="s">
        <v>139</v>
      </c>
    </row>
    <row r="22" ht="12.75">
      <c r="A22" t="s">
        <v>170</v>
      </c>
    </row>
    <row r="23" ht="12.75">
      <c r="A23" t="s">
        <v>55</v>
      </c>
    </row>
    <row r="24" ht="12.75">
      <c r="A24" t="s">
        <v>182</v>
      </c>
    </row>
    <row r="25" ht="12.75">
      <c r="A25" t="s">
        <v>183</v>
      </c>
    </row>
    <row r="32" ht="12.75">
      <c r="A32" s="3"/>
    </row>
  </sheetData>
  <sheetProtection/>
  <printOptions/>
  <pageMargins left="0.7874015748031497" right="0.7874015748031497" top="0.7874015748031497" bottom="0.787401574803149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root</dc:creator>
  <cp:keywords/>
  <dc:description/>
  <cp:lastModifiedBy> </cp:lastModifiedBy>
  <cp:lastPrinted>2006-01-22T13:39:38Z</cp:lastPrinted>
  <dcterms:created xsi:type="dcterms:W3CDTF">2006-01-19T10:14:18Z</dcterms:created>
  <dcterms:modified xsi:type="dcterms:W3CDTF">2009-05-15T15:38:11Z</dcterms:modified>
  <cp:category/>
  <cp:version/>
  <cp:contentType/>
  <cp:contentStatus/>
</cp:coreProperties>
</file>